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4120" windowHeight="12270"/>
  </bookViews>
  <sheets>
    <sheet name="2013" sheetId="1" r:id="rId1"/>
    <sheet name="2014" sheetId="2" r:id="rId2"/>
    <sheet name="2015" sheetId="4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19" i="4"/>
  <c r="K23"/>
  <c r="E21"/>
  <c r="E23"/>
  <c r="E19"/>
  <c r="E20"/>
  <c r="AC20"/>
  <c r="E11"/>
  <c r="E12"/>
  <c r="W23"/>
  <c r="Q23"/>
  <c r="AC19"/>
  <c r="W14"/>
  <c r="Q14"/>
  <c r="AC12"/>
  <c r="AC11"/>
  <c r="AC10"/>
  <c r="AC9"/>
  <c r="K14"/>
  <c r="E14"/>
  <c r="AC21" i="2"/>
  <c r="AC20"/>
  <c r="AC19"/>
  <c r="AC12"/>
  <c r="AC11"/>
  <c r="AC10"/>
  <c r="AC14"/>
  <c r="AC9"/>
  <c r="AC8"/>
  <c r="W20"/>
  <c r="W19"/>
  <c r="W21"/>
  <c r="W12"/>
  <c r="W14"/>
  <c r="W8"/>
  <c r="Q19"/>
  <c r="Q21"/>
  <c r="Q12"/>
  <c r="K19"/>
  <c r="K12"/>
  <c r="K8"/>
  <c r="K14"/>
  <c r="E12"/>
  <c r="E21"/>
  <c r="E23"/>
  <c r="E19"/>
  <c r="E8"/>
  <c r="E28"/>
  <c r="E29" s="1"/>
  <c r="K28" s="1"/>
  <c r="K29" s="1"/>
  <c r="Q28" s="1"/>
  <c r="Q29" s="1"/>
  <c r="W28" s="1"/>
  <c r="W29" s="1"/>
  <c r="Q23"/>
  <c r="W23"/>
  <c r="K23"/>
  <c r="Q14"/>
  <c r="K8" i="1"/>
  <c r="E8"/>
  <c r="E13"/>
  <c r="AC27"/>
  <c r="AC10"/>
  <c r="AC9"/>
  <c r="K18"/>
  <c r="K11"/>
  <c r="K19"/>
  <c r="Q18"/>
  <c r="Q22"/>
  <c r="Q11"/>
  <c r="Q13"/>
  <c r="W18"/>
  <c r="W20"/>
  <c r="W19"/>
  <c r="W8"/>
  <c r="W11"/>
  <c r="W13"/>
  <c r="E22"/>
  <c r="K13"/>
  <c r="AC19"/>
  <c r="AC11"/>
  <c r="W22"/>
  <c r="AC8"/>
  <c r="AC20"/>
  <c r="AC18"/>
  <c r="K22"/>
  <c r="E28"/>
  <c r="K27"/>
  <c r="AC13"/>
  <c r="AC22"/>
  <c r="AC28"/>
  <c r="K28"/>
  <c r="Q27"/>
  <c r="Q28"/>
  <c r="W27"/>
  <c r="W28"/>
  <c r="AC23" i="2"/>
  <c r="E14"/>
  <c r="AC8" i="4"/>
  <c r="AC14"/>
  <c r="AC21"/>
  <c r="AC23"/>
  <c r="AC28" i="2" l="1"/>
  <c r="AC29" s="1"/>
  <c r="E28" i="4" s="1"/>
  <c r="E29" l="1"/>
  <c r="K28" s="1"/>
  <c r="K29" s="1"/>
  <c r="Q28" s="1"/>
  <c r="Q29" s="1"/>
  <c r="W28" s="1"/>
  <c r="W29" s="1"/>
  <c r="AC28"/>
  <c r="AC29" s="1"/>
</calcChain>
</file>

<file path=xl/sharedStrings.xml><?xml version="1.0" encoding="utf-8"?>
<sst xmlns="http://schemas.openxmlformats.org/spreadsheetml/2006/main" count="253" uniqueCount="31">
  <si>
    <t>Income</t>
  </si>
  <si>
    <t>Member Contributions</t>
  </si>
  <si>
    <t>Miscellaneous</t>
  </si>
  <si>
    <t>Total</t>
  </si>
  <si>
    <t>Interest</t>
  </si>
  <si>
    <t>Expenses</t>
  </si>
  <si>
    <t>Account Balance</t>
  </si>
  <si>
    <t>Beginning Balance</t>
  </si>
  <si>
    <t>Ending Balance</t>
  </si>
  <si>
    <t>SRRTTF - ACE Financial Statement</t>
  </si>
  <si>
    <t>Consultant Fees</t>
  </si>
  <si>
    <t>Technical Conferences</t>
  </si>
  <si>
    <t>Administrative Fees</t>
  </si>
  <si>
    <t>Period: Calendar Year 2013 - 3rd Quarter</t>
  </si>
  <si>
    <t>Period: Calendar Year 2013 - 4th Quarter</t>
  </si>
  <si>
    <t>Period: Calendar Year 2013 -1st Quarter</t>
  </si>
  <si>
    <t>Period: Calendar Year 2013 -2nd Quarter</t>
  </si>
  <si>
    <t>Period: Calendar Year 2013</t>
  </si>
  <si>
    <t>These Financial Statements are unaudited.</t>
  </si>
  <si>
    <t>Period: Calendar Year 2014 -1st Quarter</t>
  </si>
  <si>
    <t>Period: Calendar Year 2014 -2nd Quarter</t>
  </si>
  <si>
    <t>Period: Calendar Year 2014 - 3rd Quarter</t>
  </si>
  <si>
    <t>Period: Calendar Year 2014 - 4th Quarter</t>
  </si>
  <si>
    <t>Period: Calendar Year 2014</t>
  </si>
  <si>
    <t>Ecology Contract (Legislative Funding)</t>
  </si>
  <si>
    <t>Ecology Payments</t>
  </si>
  <si>
    <t>Period: Calendar Year 2015 -1st Quarter</t>
  </si>
  <si>
    <t>Period: Calendar Year 2015 -2nd Quarter</t>
  </si>
  <si>
    <t>Period: Calendar Year 2015 - 3rd Quarter</t>
  </si>
  <si>
    <t>Period: Calendar Year 2015 - 4th Quarter</t>
  </si>
  <si>
    <t>Period: Calendar Year 2015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</si>
</sst>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&quot;$&quot;#,##0"/>
    <numFmt numFmtId="166" formatCode="_(&quot;$&quot;* #,##0.00_);_(&quot;$&quot;* \(#,##0.00\);_(&quot;$&quot;* &quot;-&quot;_);_(@_)"/>
  </numFmts>
  <fonts count="5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/>
    <xf numFmtId="0" fontId="4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topLeftCell="F1" zoomScaleNormal="100" workbookViewId="0">
      <selection activeCell="AC8" sqref="AC8"/>
    </sheetView>
  </sheetViews>
  <sheetFormatPr defaultRowHeight="12.75"/>
  <cols>
    <col min="1" max="1" width="4.28515625" customWidth="1"/>
    <col min="2" max="4" width="9.140625" customWidth="1"/>
    <col min="5" max="5" width="12.85546875" customWidth="1"/>
    <col min="6" max="6" width="9.140625" customWidth="1"/>
    <col min="7" max="7" width="4.28515625" customWidth="1"/>
    <col min="8" max="8" width="9.140625" customWidth="1"/>
    <col min="11" max="11" width="12.85546875" customWidth="1"/>
    <col min="13" max="13" width="4.28515625" customWidth="1"/>
    <col min="16" max="16" width="9.140625" customWidth="1"/>
    <col min="17" max="17" width="12.85546875" customWidth="1"/>
    <col min="19" max="19" width="4.28515625" customWidth="1"/>
    <col min="23" max="23" width="12.85546875" customWidth="1"/>
    <col min="25" max="25" width="4.28515625" customWidth="1"/>
    <col min="29" max="29" width="12.85546875" customWidth="1"/>
  </cols>
  <sheetData>
    <row r="1" spans="1:29" ht="18">
      <c r="A1" s="2" t="s">
        <v>9</v>
      </c>
      <c r="G1" s="2" t="s">
        <v>9</v>
      </c>
      <c r="M1" s="2" t="s">
        <v>9</v>
      </c>
      <c r="S1" s="2" t="s">
        <v>9</v>
      </c>
      <c r="Y1" s="2" t="s">
        <v>9</v>
      </c>
    </row>
    <row r="3" spans="1:29">
      <c r="A3" s="1" t="s">
        <v>15</v>
      </c>
      <c r="G3" s="1" t="s">
        <v>16</v>
      </c>
      <c r="M3" s="1" t="s">
        <v>13</v>
      </c>
      <c r="S3" s="1" t="s">
        <v>14</v>
      </c>
      <c r="Y3" s="1" t="s">
        <v>17</v>
      </c>
    </row>
    <row r="6" spans="1:29">
      <c r="A6" s="1" t="s">
        <v>0</v>
      </c>
      <c r="G6" s="1" t="s">
        <v>0</v>
      </c>
      <c r="M6" s="1" t="s">
        <v>0</v>
      </c>
      <c r="S6" s="1" t="s">
        <v>0</v>
      </c>
      <c r="Y6" s="1" t="s">
        <v>0</v>
      </c>
    </row>
    <row r="8" spans="1:29">
      <c r="B8" t="s">
        <v>1</v>
      </c>
      <c r="E8" s="8">
        <f>3856+1542+3342</f>
        <v>8740</v>
      </c>
      <c r="H8" t="s">
        <v>1</v>
      </c>
      <c r="K8" s="8">
        <f>1093+11697+4627+8869</f>
        <v>26286</v>
      </c>
      <c r="L8" s="4"/>
      <c r="N8" t="s">
        <v>1</v>
      </c>
      <c r="Q8" s="8">
        <v>39974</v>
      </c>
      <c r="T8" t="s">
        <v>1</v>
      </c>
      <c r="W8" s="8">
        <f>112191+1751+13997+6070</f>
        <v>134009</v>
      </c>
      <c r="Z8" t="s">
        <v>1</v>
      </c>
      <c r="AC8" s="8">
        <f>+E8+K8+Q8+W8</f>
        <v>209009</v>
      </c>
    </row>
    <row r="9" spans="1:29">
      <c r="B9" t="s">
        <v>25</v>
      </c>
      <c r="E9" s="8">
        <v>0</v>
      </c>
      <c r="H9" t="s">
        <v>25</v>
      </c>
      <c r="K9" s="8">
        <v>0</v>
      </c>
      <c r="L9" s="4"/>
      <c r="N9" t="s">
        <v>25</v>
      </c>
      <c r="Q9" s="8">
        <v>35000</v>
      </c>
      <c r="T9" t="s">
        <v>25</v>
      </c>
      <c r="W9" s="8">
        <v>0</v>
      </c>
      <c r="Z9" t="s">
        <v>25</v>
      </c>
      <c r="AC9" s="8">
        <f>+E9+K9+Q9+W9</f>
        <v>35000</v>
      </c>
    </row>
    <row r="10" spans="1:29">
      <c r="B10" t="s">
        <v>2</v>
      </c>
      <c r="E10" s="8"/>
      <c r="H10" t="s">
        <v>2</v>
      </c>
      <c r="K10" s="8">
        <v>4092.46</v>
      </c>
      <c r="L10" s="4"/>
      <c r="N10" t="s">
        <v>2</v>
      </c>
      <c r="Q10" s="8">
        <v>0</v>
      </c>
      <c r="T10" t="s">
        <v>2</v>
      </c>
      <c r="W10" s="8">
        <v>0</v>
      </c>
      <c r="Z10" t="s">
        <v>2</v>
      </c>
      <c r="AC10" s="8">
        <f>+E10+K10+Q10+W10</f>
        <v>4092.46</v>
      </c>
    </row>
    <row r="11" spans="1:29">
      <c r="B11" t="s">
        <v>4</v>
      </c>
      <c r="E11" s="8">
        <v>0</v>
      </c>
      <c r="H11" t="s">
        <v>4</v>
      </c>
      <c r="K11" s="8">
        <f>0.46</f>
        <v>0.46</v>
      </c>
      <c r="L11" s="4"/>
      <c r="N11" t="s">
        <v>4</v>
      </c>
      <c r="Q11" s="8">
        <f>0.37+0.37+0.36</f>
        <v>1.1000000000000001</v>
      </c>
      <c r="T11" t="s">
        <v>4</v>
      </c>
      <c r="W11" s="8">
        <f>0.37+0.36+0.12</f>
        <v>0.85</v>
      </c>
      <c r="Z11" t="s">
        <v>4</v>
      </c>
      <c r="AC11" s="8">
        <f>+E11+K11+Q11+W11</f>
        <v>2.41</v>
      </c>
    </row>
    <row r="12" spans="1:29">
      <c r="E12" s="8"/>
      <c r="K12" s="8"/>
      <c r="L12" s="4"/>
      <c r="Q12" s="8"/>
      <c r="W12" s="8"/>
      <c r="AC12" s="8"/>
    </row>
    <row r="13" spans="1:29">
      <c r="B13" t="s">
        <v>3</v>
      </c>
      <c r="E13" s="8">
        <f>SUM(E8:E12)</f>
        <v>8740</v>
      </c>
      <c r="H13" t="s">
        <v>3</v>
      </c>
      <c r="K13" s="8">
        <f>SUM(K8:K12)</f>
        <v>30378.92</v>
      </c>
      <c r="L13" s="4"/>
      <c r="N13" t="s">
        <v>3</v>
      </c>
      <c r="Q13" s="8">
        <f>SUM(Q8:Q12)</f>
        <v>74975.100000000006</v>
      </c>
      <c r="T13" t="s">
        <v>3</v>
      </c>
      <c r="W13" s="8">
        <f>SUM(W8:W12)</f>
        <v>134009.85</v>
      </c>
      <c r="Z13" t="s">
        <v>3</v>
      </c>
      <c r="AC13" s="8">
        <f>SUM(AC8:AC12)</f>
        <v>248103.87</v>
      </c>
    </row>
    <row r="14" spans="1:29">
      <c r="E14" s="8"/>
      <c r="K14" s="8"/>
      <c r="L14" s="3"/>
      <c r="Q14" s="8"/>
      <c r="W14" s="8"/>
      <c r="AC14" s="8"/>
    </row>
    <row r="15" spans="1:29">
      <c r="E15" s="7"/>
      <c r="K15" s="7"/>
      <c r="Q15" s="7"/>
      <c r="W15" s="7"/>
      <c r="AC15" s="7"/>
    </row>
    <row r="16" spans="1:29">
      <c r="A16" s="1" t="s">
        <v>5</v>
      </c>
      <c r="E16" s="7"/>
      <c r="G16" s="1" t="s">
        <v>5</v>
      </c>
      <c r="K16" s="7"/>
      <c r="M16" s="1" t="s">
        <v>5</v>
      </c>
      <c r="Q16" s="7"/>
      <c r="S16" s="1" t="s">
        <v>5</v>
      </c>
      <c r="W16" s="7"/>
      <c r="Y16" s="1" t="s">
        <v>5</v>
      </c>
      <c r="AC16" s="7"/>
    </row>
    <row r="17" spans="1:29">
      <c r="E17" s="7"/>
      <c r="K17" s="7"/>
      <c r="Q17" s="7"/>
      <c r="W17" s="7"/>
      <c r="AC17" s="7"/>
    </row>
    <row r="18" spans="1:29">
      <c r="B18" s="6" t="s">
        <v>10</v>
      </c>
      <c r="E18" s="7">
        <v>0</v>
      </c>
      <c r="H18" s="6" t="s">
        <v>10</v>
      </c>
      <c r="K18" s="7">
        <f>4631.5+13986.92</f>
        <v>18618.419999999998</v>
      </c>
      <c r="L18" s="5"/>
      <c r="N18" s="6" t="s">
        <v>10</v>
      </c>
      <c r="Q18" s="7">
        <f>11825.5+9132.17+28632</f>
        <v>49589.67</v>
      </c>
      <c r="T18" s="6" t="s">
        <v>10</v>
      </c>
      <c r="W18" s="7">
        <f>12585+14334.66+6163.15+20550</f>
        <v>53632.81</v>
      </c>
      <c r="Z18" s="6" t="s">
        <v>10</v>
      </c>
      <c r="AC18" s="8">
        <f>+E18+K18+Q18+W18</f>
        <v>121840.9</v>
      </c>
    </row>
    <row r="19" spans="1:29">
      <c r="B19" s="6" t="s">
        <v>11</v>
      </c>
      <c r="E19" s="7">
        <v>0</v>
      </c>
      <c r="H19" s="6" t="s">
        <v>11</v>
      </c>
      <c r="K19" s="7">
        <f>550</f>
        <v>550</v>
      </c>
      <c r="L19" s="5"/>
      <c r="N19" s="6" t="s">
        <v>11</v>
      </c>
      <c r="Q19" s="7">
        <v>0</v>
      </c>
      <c r="T19" s="6" t="s">
        <v>11</v>
      </c>
      <c r="W19" s="7">
        <f>1118.28+390.68+2724.03+93.5</f>
        <v>4326.49</v>
      </c>
      <c r="Z19" s="6" t="s">
        <v>11</v>
      </c>
      <c r="AC19" s="8">
        <f>+E19+K19+Q19+W19</f>
        <v>4876.49</v>
      </c>
    </row>
    <row r="20" spans="1:29">
      <c r="B20" s="6" t="s">
        <v>12</v>
      </c>
      <c r="E20" s="7">
        <v>20</v>
      </c>
      <c r="H20" s="6" t="s">
        <v>12</v>
      </c>
      <c r="K20" s="7">
        <v>0</v>
      </c>
      <c r="L20" s="5"/>
      <c r="N20" s="6" t="s">
        <v>12</v>
      </c>
      <c r="Q20" s="7">
        <v>0</v>
      </c>
      <c r="T20" s="6" t="s">
        <v>12</v>
      </c>
      <c r="W20" s="7">
        <f>862+62.45+95+10</f>
        <v>1029.45</v>
      </c>
      <c r="Z20" s="6" t="s">
        <v>12</v>
      </c>
      <c r="AC20" s="8">
        <f>+E20+K20+Q20+W20</f>
        <v>1049.45</v>
      </c>
    </row>
    <row r="21" spans="1:29">
      <c r="E21" s="7"/>
      <c r="K21" s="7"/>
      <c r="L21" s="5"/>
      <c r="Q21" s="7"/>
      <c r="W21" s="7"/>
      <c r="AC21" s="7"/>
    </row>
    <row r="22" spans="1:29">
      <c r="B22" t="s">
        <v>3</v>
      </c>
      <c r="E22" s="7">
        <f>SUM(E18:E21)</f>
        <v>20</v>
      </c>
      <c r="H22" t="s">
        <v>3</v>
      </c>
      <c r="K22" s="7">
        <f>SUM(K18:K21)</f>
        <v>19168.419999999998</v>
      </c>
      <c r="L22" s="5"/>
      <c r="N22" t="s">
        <v>3</v>
      </c>
      <c r="Q22" s="7">
        <f>SUM(Q18:Q21)</f>
        <v>49589.67</v>
      </c>
      <c r="T22" t="s">
        <v>3</v>
      </c>
      <c r="W22" s="7">
        <f>SUM(W18:W21)</f>
        <v>58988.749999999993</v>
      </c>
      <c r="Z22" t="s">
        <v>3</v>
      </c>
      <c r="AC22" s="7">
        <f>SUM(AC18:AC21)</f>
        <v>127766.84</v>
      </c>
    </row>
    <row r="23" spans="1:29">
      <c r="E23" s="7"/>
      <c r="K23" s="7"/>
      <c r="Q23" s="7"/>
      <c r="W23" s="7"/>
      <c r="AC23" s="7"/>
    </row>
    <row r="24" spans="1:29">
      <c r="E24" s="7"/>
      <c r="K24" s="7"/>
      <c r="Q24" s="7"/>
      <c r="W24" s="7"/>
      <c r="AC24" s="7"/>
    </row>
    <row r="25" spans="1:29">
      <c r="A25" s="1" t="s">
        <v>6</v>
      </c>
      <c r="E25" s="7"/>
      <c r="G25" s="1" t="s">
        <v>6</v>
      </c>
      <c r="K25" s="7"/>
      <c r="M25" s="1" t="s">
        <v>6</v>
      </c>
      <c r="Q25" s="7"/>
      <c r="S25" s="1" t="s">
        <v>6</v>
      </c>
      <c r="W25" s="7"/>
      <c r="Y25" s="1" t="s">
        <v>6</v>
      </c>
      <c r="AC25" s="7"/>
    </row>
    <row r="26" spans="1:29">
      <c r="E26" s="7"/>
      <c r="K26" s="7"/>
      <c r="Q26" s="7"/>
      <c r="W26" s="7"/>
      <c r="AC26" s="7"/>
    </row>
    <row r="27" spans="1:29">
      <c r="B27" t="s">
        <v>7</v>
      </c>
      <c r="E27" s="7">
        <v>0</v>
      </c>
      <c r="H27" t="s">
        <v>7</v>
      </c>
      <c r="K27" s="7">
        <f>+E28</f>
        <v>8720</v>
      </c>
      <c r="L27" s="5"/>
      <c r="N27" t="s">
        <v>7</v>
      </c>
      <c r="Q27" s="7">
        <f>+K28</f>
        <v>19930.5</v>
      </c>
      <c r="T27" t="s">
        <v>7</v>
      </c>
      <c r="W27" s="7">
        <f>+Q28</f>
        <v>45315.930000000008</v>
      </c>
      <c r="Z27" t="s">
        <v>7</v>
      </c>
      <c r="AC27" s="7">
        <f>+E27</f>
        <v>0</v>
      </c>
    </row>
    <row r="28" spans="1:29">
      <c r="B28" t="s">
        <v>8</v>
      </c>
      <c r="E28" s="7">
        <f>+E27+E13-E22</f>
        <v>8720</v>
      </c>
      <c r="H28" t="s">
        <v>8</v>
      </c>
      <c r="K28" s="7">
        <f>+K27+K13-K22</f>
        <v>19930.5</v>
      </c>
      <c r="L28" s="5"/>
      <c r="N28" t="s">
        <v>8</v>
      </c>
      <c r="Q28" s="7">
        <f>+Q27+Q13-Q22</f>
        <v>45315.930000000008</v>
      </c>
      <c r="T28" t="s">
        <v>8</v>
      </c>
      <c r="W28" s="7">
        <f>+W27+W13-W22</f>
        <v>120337.03000000003</v>
      </c>
      <c r="Z28" t="s">
        <v>8</v>
      </c>
      <c r="AC28" s="7">
        <f>+AC27+AC13-AC22</f>
        <v>120337.03</v>
      </c>
    </row>
    <row r="31" spans="1:29">
      <c r="A31" s="1" t="s">
        <v>18</v>
      </c>
    </row>
  </sheetData>
  <phoneticPr fontId="3" type="noConversion"/>
  <pageMargins left="0.75" right="0.75" top="1" bottom="1" header="0.5" footer="0.5"/>
  <pageSetup paperSize="17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opLeftCell="I1" workbookViewId="0">
      <selection activeCell="AC29" sqref="AC29"/>
    </sheetView>
  </sheetViews>
  <sheetFormatPr defaultRowHeight="12.75"/>
  <cols>
    <col min="1" max="1" width="4.42578125" customWidth="1"/>
    <col min="2" max="2" width="9.28515625" customWidth="1"/>
    <col min="3" max="3" width="15" customWidth="1"/>
    <col min="4" max="4" width="9.28515625" customWidth="1"/>
    <col min="5" max="5" width="12.85546875" customWidth="1"/>
    <col min="6" max="6" width="9.28515625" customWidth="1"/>
    <col min="7" max="7" width="4.28515625" customWidth="1"/>
    <col min="8" max="8" width="9.28515625" customWidth="1"/>
    <col min="9" max="9" width="14.7109375" customWidth="1"/>
    <col min="10" max="10" width="9.28515625" customWidth="1"/>
    <col min="11" max="11" width="12.85546875" customWidth="1"/>
    <col min="12" max="12" width="9.28515625" customWidth="1"/>
    <col min="13" max="13" width="4.28515625" customWidth="1"/>
    <col min="14" max="14" width="9.28515625" customWidth="1"/>
    <col min="15" max="15" width="15" customWidth="1"/>
    <col min="16" max="16" width="9.28515625" customWidth="1"/>
    <col min="17" max="17" width="12.85546875" customWidth="1"/>
    <col min="18" max="18" width="9.28515625" customWidth="1"/>
    <col min="19" max="19" width="4.28515625" customWidth="1"/>
    <col min="20" max="20" width="9.28515625" customWidth="1"/>
    <col min="21" max="21" width="15" customWidth="1"/>
    <col min="22" max="22" width="9.28515625" customWidth="1"/>
    <col min="23" max="23" width="12.85546875" customWidth="1"/>
    <col min="24" max="24" width="9.28515625" customWidth="1"/>
    <col min="25" max="25" width="4.28515625" customWidth="1"/>
    <col min="26" max="26" width="9.28515625" customWidth="1"/>
    <col min="27" max="27" width="15" customWidth="1"/>
    <col min="28" max="28" width="9.28515625" customWidth="1"/>
    <col min="29" max="29" width="12.85546875" customWidth="1"/>
  </cols>
  <sheetData>
    <row r="1" spans="1:29" ht="18">
      <c r="A1" s="2" t="s">
        <v>9</v>
      </c>
      <c r="G1" s="2" t="s">
        <v>9</v>
      </c>
      <c r="M1" s="2" t="s">
        <v>9</v>
      </c>
      <c r="S1" s="2" t="s">
        <v>9</v>
      </c>
      <c r="Y1" s="2" t="s">
        <v>9</v>
      </c>
    </row>
    <row r="3" spans="1:29">
      <c r="A3" s="1" t="s">
        <v>19</v>
      </c>
      <c r="G3" s="1" t="s">
        <v>20</v>
      </c>
      <c r="M3" s="1" t="s">
        <v>21</v>
      </c>
      <c r="S3" s="1" t="s">
        <v>22</v>
      </c>
      <c r="Y3" s="1" t="s">
        <v>23</v>
      </c>
    </row>
    <row r="6" spans="1:29">
      <c r="A6" s="1" t="s">
        <v>0</v>
      </c>
      <c r="G6" s="1" t="s">
        <v>0</v>
      </c>
      <c r="M6" s="1" t="s">
        <v>0</v>
      </c>
      <c r="S6" s="1" t="s">
        <v>0</v>
      </c>
      <c r="Y6" s="1" t="s">
        <v>0</v>
      </c>
    </row>
    <row r="8" spans="1:29">
      <c r="B8" t="s">
        <v>1</v>
      </c>
      <c r="E8" s="8">
        <f>18482+7324+2462+5300</f>
        <v>33568</v>
      </c>
      <c r="H8" t="s">
        <v>1</v>
      </c>
      <c r="K8" s="8">
        <f>27538+7849+3607+10882+2548+9102+20898</f>
        <v>82424</v>
      </c>
      <c r="L8" s="4"/>
      <c r="N8" t="s">
        <v>1</v>
      </c>
      <c r="Q8" s="8"/>
      <c r="T8" t="s">
        <v>1</v>
      </c>
      <c r="W8" s="8">
        <f>2149.5+6069+7586+34895+6574.5+46020+18206</f>
        <v>121500</v>
      </c>
      <c r="Z8" t="s">
        <v>1</v>
      </c>
      <c r="AC8" s="8">
        <f>+E8+K8+Q8+W8</f>
        <v>237492</v>
      </c>
    </row>
    <row r="9" spans="1:29">
      <c r="B9" t="s">
        <v>25</v>
      </c>
      <c r="E9" s="8"/>
      <c r="H9" t="s">
        <v>25</v>
      </c>
      <c r="K9" s="8">
        <v>40000</v>
      </c>
      <c r="L9" s="4"/>
      <c r="N9" t="s">
        <v>25</v>
      </c>
      <c r="Q9" s="8"/>
      <c r="T9" t="s">
        <v>25</v>
      </c>
      <c r="W9" s="8">
        <v>21563.51</v>
      </c>
      <c r="Z9" t="s">
        <v>25</v>
      </c>
      <c r="AC9" s="8">
        <f>+E9+K9+Q9+W9</f>
        <v>61563.509999999995</v>
      </c>
    </row>
    <row r="10" spans="1:29">
      <c r="B10" t="s">
        <v>24</v>
      </c>
      <c r="E10" s="8"/>
      <c r="H10" t="s">
        <v>24</v>
      </c>
      <c r="K10" s="8"/>
      <c r="L10" s="4"/>
      <c r="N10" t="s">
        <v>24</v>
      </c>
      <c r="Q10" s="8">
        <v>123080.29</v>
      </c>
      <c r="T10" t="s">
        <v>24</v>
      </c>
      <c r="W10" s="8">
        <v>32244.91</v>
      </c>
      <c r="Z10" t="s">
        <v>24</v>
      </c>
      <c r="AC10" s="8">
        <f>+E10+K10+Q10+W10</f>
        <v>155325.19999999998</v>
      </c>
    </row>
    <row r="11" spans="1:29">
      <c r="B11" t="s">
        <v>2</v>
      </c>
      <c r="E11" s="8"/>
      <c r="H11" t="s">
        <v>2</v>
      </c>
      <c r="K11" s="8"/>
      <c r="L11" s="4"/>
      <c r="N11" t="s">
        <v>2</v>
      </c>
      <c r="Q11" s="8"/>
      <c r="T11" t="s">
        <v>2</v>
      </c>
      <c r="W11" s="8">
        <v>5</v>
      </c>
      <c r="Z11" t="s">
        <v>2</v>
      </c>
      <c r="AC11" s="8">
        <f>+E11+K11+Q11+W11</f>
        <v>5</v>
      </c>
    </row>
    <row r="12" spans="1:29">
      <c r="B12" t="s">
        <v>4</v>
      </c>
      <c r="E12" s="8">
        <f>0.03+2.5+4.28</f>
        <v>6.8100000000000005</v>
      </c>
      <c r="H12" t="s">
        <v>4</v>
      </c>
      <c r="K12" s="8">
        <f>4.05+3.86+3.73</f>
        <v>11.64</v>
      </c>
      <c r="L12" s="4"/>
      <c r="N12" t="s">
        <v>4</v>
      </c>
      <c r="Q12" s="8">
        <f>3.86+3.86+0.88</f>
        <v>8.6</v>
      </c>
      <c r="T12" t="s">
        <v>4</v>
      </c>
      <c r="W12" s="8">
        <f>0.46+0.45+0.46</f>
        <v>1.37</v>
      </c>
      <c r="Z12" t="s">
        <v>4</v>
      </c>
      <c r="AC12" s="8">
        <f>+E12+K12+Q12+W12</f>
        <v>28.420000000000005</v>
      </c>
    </row>
    <row r="13" spans="1:29">
      <c r="E13" s="8"/>
      <c r="K13" s="8"/>
      <c r="L13" s="4"/>
      <c r="Q13" s="8"/>
      <c r="W13" s="8"/>
      <c r="AC13" s="8"/>
    </row>
    <row r="14" spans="1:29">
      <c r="B14" t="s">
        <v>3</v>
      </c>
      <c r="E14" s="8">
        <f>SUM(E8:E13)</f>
        <v>33574.81</v>
      </c>
      <c r="H14" t="s">
        <v>3</v>
      </c>
      <c r="K14" s="8">
        <f>SUM(K8:K13)</f>
        <v>122435.64</v>
      </c>
      <c r="L14" s="4"/>
      <c r="N14" t="s">
        <v>3</v>
      </c>
      <c r="Q14" s="8">
        <f>SUM(Q8:Q13)</f>
        <v>123088.89</v>
      </c>
      <c r="T14" t="s">
        <v>3</v>
      </c>
      <c r="W14" s="8">
        <f>SUM(W8:W13)</f>
        <v>175314.79</v>
      </c>
      <c r="Z14" t="s">
        <v>3</v>
      </c>
      <c r="AC14" s="8">
        <f>SUM(AC8:AC13)</f>
        <v>454414.12999999995</v>
      </c>
    </row>
    <row r="15" spans="1:29">
      <c r="E15" s="8"/>
      <c r="K15" s="8"/>
      <c r="L15" s="3"/>
      <c r="Q15" s="8"/>
      <c r="W15" s="8"/>
      <c r="AC15" s="8"/>
    </row>
    <row r="16" spans="1:29">
      <c r="E16" s="7"/>
      <c r="K16" s="7"/>
      <c r="Q16" s="7"/>
      <c r="W16" s="7"/>
      <c r="AC16" s="7"/>
    </row>
    <row r="17" spans="1:29">
      <c r="A17" s="1" t="s">
        <v>5</v>
      </c>
      <c r="E17" s="7"/>
      <c r="G17" s="1" t="s">
        <v>5</v>
      </c>
      <c r="K17" s="7"/>
      <c r="M17" s="1" t="s">
        <v>5</v>
      </c>
      <c r="Q17" s="7"/>
      <c r="S17" s="1" t="s">
        <v>5</v>
      </c>
      <c r="W17" s="7"/>
      <c r="Y17" s="1" t="s">
        <v>5</v>
      </c>
      <c r="AC17" s="7"/>
    </row>
    <row r="18" spans="1:29">
      <c r="E18" s="7"/>
      <c r="K18" s="7"/>
      <c r="Q18" s="7"/>
      <c r="W18" s="7"/>
      <c r="AC18" s="7"/>
    </row>
    <row r="19" spans="1:29">
      <c r="B19" s="6" t="s">
        <v>10</v>
      </c>
      <c r="E19" s="7">
        <f>3253+13593.48+9595+20635</f>
        <v>47076.479999999996</v>
      </c>
      <c r="H19" s="6" t="s">
        <v>10</v>
      </c>
      <c r="K19" s="7">
        <f>6568+9840.53+20550</f>
        <v>36958.53</v>
      </c>
      <c r="L19" s="5"/>
      <c r="N19" s="6" t="s">
        <v>10</v>
      </c>
      <c r="Q19" s="7">
        <f>10020+19.6+5204.09+25136.37+92864.32+21563.51</f>
        <v>154807.89000000001</v>
      </c>
      <c r="T19" s="6" t="s">
        <v>10</v>
      </c>
      <c r="W19" s="7">
        <f>5079.6+6160.4+26084.51+4773.36+16048.17+18742.94+4769.12+17098.4+4773.36+15000+58194.11+6217.5+4000</f>
        <v>186941.47</v>
      </c>
      <c r="Z19" s="6" t="s">
        <v>10</v>
      </c>
      <c r="AC19" s="8">
        <f>+E19+K19+Q19+W19</f>
        <v>425784.37</v>
      </c>
    </row>
    <row r="20" spans="1:29">
      <c r="B20" s="6" t="s">
        <v>11</v>
      </c>
      <c r="E20" s="7"/>
      <c r="H20" s="6" t="s">
        <v>11</v>
      </c>
      <c r="K20" s="7"/>
      <c r="L20" s="5"/>
      <c r="N20" s="6" t="s">
        <v>11</v>
      </c>
      <c r="Q20" s="7"/>
      <c r="T20" s="6" t="s">
        <v>11</v>
      </c>
      <c r="W20" s="7">
        <f>1152+1000</f>
        <v>2152</v>
      </c>
      <c r="Z20" s="6" t="s">
        <v>11</v>
      </c>
      <c r="AC20" s="8">
        <f>+E20+K20+Q20+W20</f>
        <v>2152</v>
      </c>
    </row>
    <row r="21" spans="1:29">
      <c r="B21" s="6" t="s">
        <v>12</v>
      </c>
      <c r="E21" s="7">
        <f>92+51.07+457</f>
        <v>600.06999999999994</v>
      </c>
      <c r="H21" s="6" t="s">
        <v>12</v>
      </c>
      <c r="K21" s="7"/>
      <c r="L21" s="5"/>
      <c r="N21" s="6" t="s">
        <v>12</v>
      </c>
      <c r="Q21" s="7">
        <f>27+10+5</f>
        <v>42</v>
      </c>
      <c r="T21" s="6" t="s">
        <v>12</v>
      </c>
      <c r="W21" s="7">
        <f>95+903+10</f>
        <v>1008</v>
      </c>
      <c r="Z21" s="6" t="s">
        <v>12</v>
      </c>
      <c r="AC21" s="8">
        <f>+E21+K21+Q21+W21</f>
        <v>1650.07</v>
      </c>
    </row>
    <row r="22" spans="1:29">
      <c r="E22" s="7"/>
      <c r="K22" s="7"/>
      <c r="L22" s="5"/>
      <c r="Q22" s="7"/>
      <c r="W22" s="7"/>
      <c r="AC22" s="7"/>
    </row>
    <row r="23" spans="1:29">
      <c r="B23" t="s">
        <v>3</v>
      </c>
      <c r="E23" s="7">
        <f>SUM(E19:E22)</f>
        <v>47676.549999999996</v>
      </c>
      <c r="H23" t="s">
        <v>3</v>
      </c>
      <c r="K23" s="7">
        <f>SUM(K19:K22)</f>
        <v>36958.53</v>
      </c>
      <c r="L23" s="5"/>
      <c r="N23" t="s">
        <v>3</v>
      </c>
      <c r="Q23" s="7">
        <f>SUM(Q19:Q22)</f>
        <v>154849.89000000001</v>
      </c>
      <c r="T23" t="s">
        <v>3</v>
      </c>
      <c r="W23" s="7">
        <f>SUM(W19:W22)</f>
        <v>190101.47</v>
      </c>
      <c r="Z23" t="s">
        <v>3</v>
      </c>
      <c r="AC23" s="7">
        <f>SUM(AC19:AC22)</f>
        <v>429586.44</v>
      </c>
    </row>
    <row r="24" spans="1:29">
      <c r="E24" s="7"/>
      <c r="K24" s="7"/>
      <c r="Q24" s="7"/>
      <c r="W24" s="7"/>
      <c r="AC24" s="7"/>
    </row>
    <row r="25" spans="1:29">
      <c r="E25" s="7"/>
      <c r="K25" s="7"/>
      <c r="Q25" s="7"/>
      <c r="W25" s="7"/>
      <c r="AC25" s="7"/>
    </row>
    <row r="26" spans="1:29">
      <c r="A26" s="1" t="s">
        <v>6</v>
      </c>
      <c r="E26" s="7"/>
      <c r="G26" s="1" t="s">
        <v>6</v>
      </c>
      <c r="K26" s="7"/>
      <c r="M26" s="1" t="s">
        <v>6</v>
      </c>
      <c r="Q26" s="7"/>
      <c r="S26" s="1" t="s">
        <v>6</v>
      </c>
      <c r="W26" s="7"/>
      <c r="Y26" s="1" t="s">
        <v>6</v>
      </c>
      <c r="AC26" s="7"/>
    </row>
    <row r="27" spans="1:29">
      <c r="E27" s="7"/>
      <c r="K27" s="7"/>
      <c r="Q27" s="7"/>
      <c r="W27" s="7"/>
      <c r="AC27" s="7"/>
    </row>
    <row r="28" spans="1:29">
      <c r="B28" t="s">
        <v>7</v>
      </c>
      <c r="E28" s="7">
        <f>'2013'!$AC$28</f>
        <v>120337.03</v>
      </c>
      <c r="H28" t="s">
        <v>7</v>
      </c>
      <c r="K28" s="7">
        <f>+E29</f>
        <v>106235.29000000001</v>
      </c>
      <c r="L28" s="5"/>
      <c r="N28" t="s">
        <v>7</v>
      </c>
      <c r="Q28" s="7">
        <f>+K29</f>
        <v>191712.4</v>
      </c>
      <c r="T28" t="s">
        <v>7</v>
      </c>
      <c r="W28" s="7">
        <f>+Q29</f>
        <v>159951.39999999997</v>
      </c>
      <c r="Z28" t="s">
        <v>7</v>
      </c>
      <c r="AC28" s="7">
        <f>+E28</f>
        <v>120337.03</v>
      </c>
    </row>
    <row r="29" spans="1:29">
      <c r="B29" t="s">
        <v>8</v>
      </c>
      <c r="E29" s="7">
        <f>+E28+E14-E23</f>
        <v>106235.29000000001</v>
      </c>
      <c r="H29" t="s">
        <v>8</v>
      </c>
      <c r="K29" s="7">
        <f>+K28+K14-K23</f>
        <v>191712.4</v>
      </c>
      <c r="L29" s="5"/>
      <c r="N29" t="s">
        <v>8</v>
      </c>
      <c r="Q29" s="7">
        <f>+Q28+Q14-Q23</f>
        <v>159951.39999999997</v>
      </c>
      <c r="T29" t="s">
        <v>8</v>
      </c>
      <c r="W29" s="7">
        <f>+W28+W14-W23</f>
        <v>145164.71999999994</v>
      </c>
      <c r="Z29" t="s">
        <v>8</v>
      </c>
      <c r="AC29" s="7">
        <f>+AC28+AC14-AC23</f>
        <v>145164.71999999991</v>
      </c>
    </row>
    <row r="32" spans="1:29">
      <c r="A32" s="1" t="s">
        <v>18</v>
      </c>
    </row>
  </sheetData>
  <phoneticPr fontId="3" type="noConversion"/>
  <pageMargins left="0.75" right="0.75" top="1" bottom="1" header="0.5" footer="0.5"/>
  <pageSetup paperSize="17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workbookViewId="0">
      <selection activeCell="K20" sqref="K20"/>
    </sheetView>
  </sheetViews>
  <sheetFormatPr defaultRowHeight="12.75"/>
  <cols>
    <col min="1" max="1" width="4.42578125" customWidth="1"/>
    <col min="2" max="2" width="9.28515625" customWidth="1"/>
    <col min="3" max="3" width="15" customWidth="1"/>
    <col min="4" max="4" width="9.28515625" customWidth="1"/>
    <col min="5" max="5" width="12.85546875" customWidth="1"/>
    <col min="6" max="6" width="9.28515625" customWidth="1"/>
    <col min="7" max="7" width="4.28515625" customWidth="1"/>
    <col min="8" max="8" width="9.28515625" customWidth="1"/>
    <col min="9" max="9" width="14.7109375" customWidth="1"/>
    <col min="10" max="10" width="9.28515625" customWidth="1"/>
    <col min="11" max="11" width="12.85546875" customWidth="1"/>
    <col min="12" max="12" width="9.28515625" customWidth="1"/>
    <col min="13" max="13" width="4.28515625" customWidth="1"/>
    <col min="14" max="14" width="9.28515625" customWidth="1"/>
    <col min="15" max="15" width="15" customWidth="1"/>
    <col min="16" max="16" width="9.28515625" customWidth="1"/>
    <col min="17" max="17" width="12.85546875" customWidth="1"/>
    <col min="18" max="18" width="9.28515625" customWidth="1"/>
    <col min="19" max="19" width="4.28515625" customWidth="1"/>
    <col min="20" max="20" width="9.28515625" customWidth="1"/>
    <col min="21" max="21" width="15" customWidth="1"/>
    <col min="22" max="22" width="9.28515625" customWidth="1"/>
    <col min="23" max="23" width="12.85546875" customWidth="1"/>
    <col min="24" max="24" width="9.28515625" customWidth="1"/>
    <col min="25" max="25" width="4.28515625" customWidth="1"/>
    <col min="26" max="26" width="9.28515625" customWidth="1"/>
    <col min="27" max="27" width="15" customWidth="1"/>
    <col min="28" max="28" width="9.28515625" customWidth="1"/>
    <col min="29" max="29" width="12.85546875" customWidth="1"/>
  </cols>
  <sheetData>
    <row r="1" spans="1:29" ht="18">
      <c r="A1" s="2" t="s">
        <v>9</v>
      </c>
      <c r="G1" s="2" t="s">
        <v>9</v>
      </c>
      <c r="M1" s="2" t="s">
        <v>9</v>
      </c>
      <c r="S1" s="2" t="s">
        <v>9</v>
      </c>
      <c r="Y1" s="2" t="s">
        <v>9</v>
      </c>
    </row>
    <row r="3" spans="1:29">
      <c r="A3" s="1" t="s">
        <v>26</v>
      </c>
      <c r="G3" s="1" t="s">
        <v>27</v>
      </c>
      <c r="M3" s="1" t="s">
        <v>28</v>
      </c>
      <c r="S3" s="1" t="s">
        <v>29</v>
      </c>
      <c r="Y3" s="1" t="s">
        <v>30</v>
      </c>
    </row>
    <row r="6" spans="1:29">
      <c r="A6" s="1" t="s">
        <v>0</v>
      </c>
      <c r="G6" s="1" t="s">
        <v>0</v>
      </c>
      <c r="M6" s="1" t="s">
        <v>0</v>
      </c>
      <c r="S6" s="1" t="s">
        <v>0</v>
      </c>
      <c r="Y6" s="1" t="s">
        <v>0</v>
      </c>
    </row>
    <row r="8" spans="1:29">
      <c r="B8" t="s">
        <v>1</v>
      </c>
      <c r="E8" s="8">
        <v>112191</v>
      </c>
      <c r="H8" t="s">
        <v>1</v>
      </c>
      <c r="K8" s="8"/>
      <c r="L8" s="4"/>
      <c r="N8" t="s">
        <v>1</v>
      </c>
      <c r="Q8" s="8"/>
      <c r="T8" t="s">
        <v>1</v>
      </c>
      <c r="W8" s="8"/>
      <c r="Z8" t="s">
        <v>1</v>
      </c>
      <c r="AC8" s="8">
        <f>+E8+K8+Q8+W8</f>
        <v>112191</v>
      </c>
    </row>
    <row r="9" spans="1:29">
      <c r="B9" t="s">
        <v>25</v>
      </c>
      <c r="E9" s="8"/>
      <c r="H9" t="s">
        <v>25</v>
      </c>
      <c r="K9" s="8">
        <v>165</v>
      </c>
      <c r="L9" s="4"/>
      <c r="N9" t="s">
        <v>25</v>
      </c>
      <c r="Q9" s="8"/>
      <c r="T9" t="s">
        <v>25</v>
      </c>
      <c r="W9" s="8"/>
      <c r="Z9" t="s">
        <v>25</v>
      </c>
      <c r="AC9" s="8">
        <f>+E9+K9+Q9+W9</f>
        <v>165</v>
      </c>
    </row>
    <row r="10" spans="1:29">
      <c r="B10" t="s">
        <v>24</v>
      </c>
      <c r="E10" s="8"/>
      <c r="H10" t="s">
        <v>24</v>
      </c>
      <c r="K10" s="8"/>
      <c r="L10" s="4"/>
      <c r="N10" t="s">
        <v>24</v>
      </c>
      <c r="Q10" s="8"/>
      <c r="T10" t="s">
        <v>24</v>
      </c>
      <c r="W10" s="8"/>
      <c r="Z10" t="s">
        <v>24</v>
      </c>
      <c r="AC10" s="8">
        <f>+E10+K10+Q10+W10</f>
        <v>0</v>
      </c>
    </row>
    <row r="11" spans="1:29">
      <c r="B11" t="s">
        <v>2</v>
      </c>
      <c r="E11" s="8">
        <f>52+18.13</f>
        <v>70.13</v>
      </c>
      <c r="H11" t="s">
        <v>2</v>
      </c>
      <c r="K11" s="8"/>
      <c r="L11" s="4"/>
      <c r="N11" t="s">
        <v>2</v>
      </c>
      <c r="Q11" s="8"/>
      <c r="T11" t="s">
        <v>2</v>
      </c>
      <c r="W11" s="8"/>
      <c r="Z11" t="s">
        <v>2</v>
      </c>
      <c r="AC11" s="8">
        <f>+E11+K11+Q11+W11</f>
        <v>70.13</v>
      </c>
    </row>
    <row r="12" spans="1:29">
      <c r="B12" t="s">
        <v>4</v>
      </c>
      <c r="E12" s="8">
        <f>0.46+2.88+8.2</f>
        <v>11.54</v>
      </c>
      <c r="H12" t="s">
        <v>4</v>
      </c>
      <c r="K12" s="8">
        <v>7.64</v>
      </c>
      <c r="L12" s="4"/>
      <c r="N12" t="s">
        <v>4</v>
      </c>
      <c r="Q12" s="8"/>
      <c r="T12" t="s">
        <v>4</v>
      </c>
      <c r="W12" s="8"/>
      <c r="Z12" t="s">
        <v>4</v>
      </c>
      <c r="AC12" s="8">
        <f>+E12+K12+Q12+W12</f>
        <v>19.18</v>
      </c>
    </row>
    <row r="13" spans="1:29">
      <c r="E13" s="8"/>
      <c r="K13" s="8"/>
      <c r="L13" s="4"/>
      <c r="Q13" s="8"/>
      <c r="W13" s="8"/>
      <c r="AC13" s="8"/>
    </row>
    <row r="14" spans="1:29">
      <c r="B14" t="s">
        <v>3</v>
      </c>
      <c r="E14" s="8">
        <f>SUM(E8:E13)</f>
        <v>112272.67</v>
      </c>
      <c r="H14" t="s">
        <v>3</v>
      </c>
      <c r="K14" s="8">
        <f>SUM(K8:K13)</f>
        <v>172.64</v>
      </c>
      <c r="L14" s="4"/>
      <c r="N14" t="s">
        <v>3</v>
      </c>
      <c r="Q14" s="8">
        <f>SUM(Q8:Q13)</f>
        <v>0</v>
      </c>
      <c r="T14" t="s">
        <v>3</v>
      </c>
      <c r="W14" s="8">
        <f>SUM(W8:W13)</f>
        <v>0</v>
      </c>
      <c r="Z14" t="s">
        <v>3</v>
      </c>
      <c r="AC14" s="8">
        <f>SUM(AC8:AC13)</f>
        <v>112445.31</v>
      </c>
    </row>
    <row r="15" spans="1:29">
      <c r="E15" s="8"/>
      <c r="K15" s="8"/>
      <c r="L15" s="3"/>
      <c r="Q15" s="8"/>
      <c r="W15" s="8"/>
      <c r="AC15" s="8"/>
    </row>
    <row r="16" spans="1:29">
      <c r="E16" s="7"/>
      <c r="K16" s="7"/>
      <c r="Q16" s="7"/>
      <c r="W16" s="7"/>
      <c r="AC16" s="7"/>
    </row>
    <row r="17" spans="1:29">
      <c r="A17" s="1" t="s">
        <v>5</v>
      </c>
      <c r="E17" s="7"/>
      <c r="G17" s="1" t="s">
        <v>5</v>
      </c>
      <c r="K17" s="7"/>
      <c r="M17" s="1" t="s">
        <v>5</v>
      </c>
      <c r="Q17" s="7"/>
      <c r="S17" s="1" t="s">
        <v>5</v>
      </c>
      <c r="W17" s="7"/>
      <c r="Y17" s="1" t="s">
        <v>5</v>
      </c>
      <c r="AC17" s="7"/>
    </row>
    <row r="18" spans="1:29">
      <c r="E18" s="7"/>
      <c r="K18" s="7"/>
      <c r="Q18" s="7"/>
      <c r="W18" s="7"/>
      <c r="AC18" s="7"/>
    </row>
    <row r="19" spans="1:29">
      <c r="B19" s="6" t="s">
        <v>10</v>
      </c>
      <c r="E19" s="7">
        <f>6036.64+5444.12+11086.65+6394.54+11312+4728</f>
        <v>45001.95</v>
      </c>
      <c r="H19" s="6" t="s">
        <v>10</v>
      </c>
      <c r="K19" s="7">
        <f>938.26+500</f>
        <v>1438.26</v>
      </c>
      <c r="L19" s="5"/>
      <c r="N19" s="6" t="s">
        <v>10</v>
      </c>
      <c r="Q19" s="7"/>
      <c r="T19" s="6" t="s">
        <v>10</v>
      </c>
      <c r="W19" s="7"/>
      <c r="Z19" s="6" t="s">
        <v>10</v>
      </c>
      <c r="AC19" s="8">
        <f>+E19+K19+Q19+W19</f>
        <v>46440.21</v>
      </c>
    </row>
    <row r="20" spans="1:29">
      <c r="B20" s="6" t="s">
        <v>11</v>
      </c>
      <c r="E20" s="7">
        <f>2001.33+84+721.66+449.57</f>
        <v>3256.56</v>
      </c>
      <c r="H20" s="6" t="s">
        <v>11</v>
      </c>
      <c r="K20" s="7"/>
      <c r="L20" s="5"/>
      <c r="N20" s="6" t="s">
        <v>11</v>
      </c>
      <c r="Q20" s="7"/>
      <c r="T20" s="6" t="s">
        <v>11</v>
      </c>
      <c r="W20" s="7"/>
      <c r="Z20" s="6" t="s">
        <v>11</v>
      </c>
      <c r="AC20" s="8">
        <f>+E20+K20+Q20+W20</f>
        <v>3256.56</v>
      </c>
    </row>
    <row r="21" spans="1:29">
      <c r="B21" s="6" t="s">
        <v>12</v>
      </c>
      <c r="E21" s="7">
        <f>92+457+850+13.23+2200+1.15</f>
        <v>3613.38</v>
      </c>
      <c r="H21" s="6" t="s">
        <v>12</v>
      </c>
      <c r="K21" s="7"/>
      <c r="L21" s="5"/>
      <c r="N21" s="6" t="s">
        <v>12</v>
      </c>
      <c r="Q21" s="7"/>
      <c r="T21" s="6" t="s">
        <v>12</v>
      </c>
      <c r="W21" s="7"/>
      <c r="Z21" s="6" t="s">
        <v>12</v>
      </c>
      <c r="AC21" s="8">
        <f>+E21+K21+Q21+W21</f>
        <v>3613.38</v>
      </c>
    </row>
    <row r="22" spans="1:29">
      <c r="E22" s="7"/>
      <c r="K22" s="7"/>
      <c r="L22" s="5"/>
      <c r="Q22" s="7"/>
      <c r="W22" s="7"/>
      <c r="AC22" s="7"/>
    </row>
    <row r="23" spans="1:29">
      <c r="B23" t="s">
        <v>3</v>
      </c>
      <c r="E23" s="7">
        <f>SUM(E19:E22)</f>
        <v>51871.889999999992</v>
      </c>
      <c r="H23" t="s">
        <v>3</v>
      </c>
      <c r="K23" s="7">
        <f>SUM(K19:K22)</f>
        <v>1438.26</v>
      </c>
      <c r="L23" s="5"/>
      <c r="N23" t="s">
        <v>3</v>
      </c>
      <c r="Q23" s="7">
        <f>SUM(Q19:Q22)</f>
        <v>0</v>
      </c>
      <c r="T23" t="s">
        <v>3</v>
      </c>
      <c r="W23" s="7">
        <f>SUM(W19:W22)</f>
        <v>0</v>
      </c>
      <c r="Z23" t="s">
        <v>3</v>
      </c>
      <c r="AC23" s="7">
        <f>SUM(AC19:AC22)</f>
        <v>53310.149999999994</v>
      </c>
    </row>
    <row r="24" spans="1:29">
      <c r="E24" s="7"/>
      <c r="K24" s="7"/>
      <c r="Q24" s="7"/>
      <c r="W24" s="7"/>
      <c r="AC24" s="7"/>
    </row>
    <row r="25" spans="1:29">
      <c r="E25" s="7"/>
      <c r="K25" s="7"/>
      <c r="Q25" s="7"/>
      <c r="W25" s="7"/>
      <c r="AC25" s="7"/>
    </row>
    <row r="26" spans="1:29">
      <c r="A26" s="1" t="s">
        <v>6</v>
      </c>
      <c r="E26" s="7"/>
      <c r="G26" s="1" t="s">
        <v>6</v>
      </c>
      <c r="K26" s="7"/>
      <c r="M26" s="1" t="s">
        <v>6</v>
      </c>
      <c r="Q26" s="7"/>
      <c r="S26" s="1" t="s">
        <v>6</v>
      </c>
      <c r="W26" s="7"/>
      <c r="Y26" s="1" t="s">
        <v>6</v>
      </c>
      <c r="AC26" s="7"/>
    </row>
    <row r="27" spans="1:29">
      <c r="E27" s="7"/>
      <c r="K27" s="7"/>
      <c r="Q27" s="7"/>
      <c r="W27" s="7"/>
      <c r="AC27" s="7"/>
    </row>
    <row r="28" spans="1:29">
      <c r="B28" t="s">
        <v>7</v>
      </c>
      <c r="E28" s="7">
        <f>'2014'!$AC$29</f>
        <v>145164.71999999991</v>
      </c>
      <c r="H28" t="s">
        <v>7</v>
      </c>
      <c r="K28" s="7">
        <f>+E29</f>
        <v>205565.49999999991</v>
      </c>
      <c r="L28" s="5"/>
      <c r="N28" t="s">
        <v>7</v>
      </c>
      <c r="Q28" s="7">
        <f>+K29</f>
        <v>204299.87999999992</v>
      </c>
      <c r="T28" t="s">
        <v>7</v>
      </c>
      <c r="W28" s="7">
        <f>+Q29</f>
        <v>204299.87999999992</v>
      </c>
      <c r="Z28" t="s">
        <v>7</v>
      </c>
      <c r="AC28" s="7">
        <f>+E28</f>
        <v>145164.71999999991</v>
      </c>
    </row>
    <row r="29" spans="1:29">
      <c r="B29" t="s">
        <v>8</v>
      </c>
      <c r="E29" s="7">
        <f>+E28+E14-E23</f>
        <v>205565.49999999991</v>
      </c>
      <c r="H29" t="s">
        <v>8</v>
      </c>
      <c r="K29" s="7">
        <f>+K28+K14-K23</f>
        <v>204299.87999999992</v>
      </c>
      <c r="L29" s="5"/>
      <c r="N29" t="s">
        <v>8</v>
      </c>
      <c r="Q29" s="7">
        <f>+Q28+Q14-Q23</f>
        <v>204299.87999999992</v>
      </c>
      <c r="T29" t="s">
        <v>8</v>
      </c>
      <c r="W29" s="7">
        <f>+W28+W14-W23</f>
        <v>204299.87999999992</v>
      </c>
      <c r="Z29" t="s">
        <v>8</v>
      </c>
      <c r="AC29" s="7">
        <f>+AC28+AC14-AC23</f>
        <v>204299.87999999992</v>
      </c>
    </row>
    <row r="32" spans="1:29">
      <c r="A32" s="1" t="s">
        <v>18</v>
      </c>
    </row>
  </sheetData>
  <pageMargins left="0.75" right="0.75" top="1" bottom="1" header="0.5" footer="0.5"/>
  <pageSetup paperSize="17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Sheet3</vt:lpstr>
    </vt:vector>
  </TitlesOfParts>
  <Company>Kaiser Aluminum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tr22341</dc:creator>
  <cp:lastModifiedBy>Kara Whitman</cp:lastModifiedBy>
  <cp:lastPrinted>2015-01-20T15:31:13Z</cp:lastPrinted>
  <dcterms:created xsi:type="dcterms:W3CDTF">2013-10-18T16:42:08Z</dcterms:created>
  <dcterms:modified xsi:type="dcterms:W3CDTF">2015-05-26T18:39:49Z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